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人员" sheetId="1" r:id="rId1"/>
  </sheets>
  <definedNames>
    <definedName name="_xlnm.Print_Area" localSheetId="0">人员!$A$1:$W$16</definedName>
  </definedNames>
  <calcPr calcId="144525"/>
</workbook>
</file>

<file path=xl/sharedStrings.xml><?xml version="1.0" encoding="utf-8"?>
<sst xmlns="http://schemas.openxmlformats.org/spreadsheetml/2006/main" count="37" uniqueCount="23">
  <si>
    <t>2019个人所得税新旧税制改革对比表</t>
  </si>
  <si>
    <t>月份</t>
  </si>
  <si>
    <t>工资
所属期</t>
  </si>
  <si>
    <t>工资
发放期</t>
  </si>
  <si>
    <t>报税
月份</t>
  </si>
  <si>
    <t>基本工资</t>
  </si>
  <si>
    <t>防暑
降温</t>
  </si>
  <si>
    <t>应发工资</t>
  </si>
  <si>
    <t>社保</t>
  </si>
  <si>
    <t>公积金</t>
  </si>
  <si>
    <t>原个税扣除制度</t>
  </si>
  <si>
    <t>新个税扣除制度  （预扣预缴）</t>
  </si>
  <si>
    <t>月税前
扣除额</t>
  </si>
  <si>
    <t>应纳税所得额</t>
  </si>
  <si>
    <t>税率</t>
  </si>
  <si>
    <t>速算扣除数</t>
  </si>
  <si>
    <t>个税</t>
  </si>
  <si>
    <t>实发金额</t>
  </si>
  <si>
    <t>累计社保</t>
  </si>
  <si>
    <t>累计公积金</t>
  </si>
  <si>
    <t>累计税前
扣除额</t>
  </si>
  <si>
    <t>累计应纳税所得额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</si>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</sst>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方正姚体"/>
      <charset val="134"/>
    </font>
    <font>
      <sz val="10"/>
      <color theme="1"/>
      <name val="方正姚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7" fillId="5" borderId="10" applyNumberFormat="0" applyAlignment="0" applyProtection="0">
      <alignment vertical="center"/>
    </xf>
    <xf numFmtId="0" fontId="17" fillId="22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3" fontId="6" fillId="0" borderId="4" xfId="8" applyFont="1" applyBorder="1" applyAlignment="1">
      <alignment horizontal="center" vertical="center"/>
    </xf>
    <xf numFmtId="9" fontId="6" fillId="0" borderId="4" xfId="8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3" fontId="6" fillId="0" borderId="4" xfId="8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tabSelected="1" view="pageBreakPreview" zoomScale="90" zoomScaleNormal="100" zoomScaleSheetLayoutView="90" workbookViewId="0">
      <selection activeCell="L7" sqref="L7"/>
    </sheetView>
  </sheetViews>
  <sheetFormatPr defaultColWidth="9" defaultRowHeight="14.4"/>
  <cols>
    <col min="1" max="1" width="4.5" style="3" customWidth="1"/>
    <col min="2" max="2" width="9.75" style="4" hidden="1" customWidth="1"/>
    <col min="3" max="3" width="11.8796296296296" customWidth="1"/>
    <col min="4" max="4" width="11.8796296296296" hidden="1" customWidth="1"/>
    <col min="5" max="5" width="10.3796296296296" hidden="1" customWidth="1"/>
    <col min="6" max="6" width="8.87962962962963" hidden="1" customWidth="1"/>
    <col min="7" max="7" width="9.5" customWidth="1"/>
    <col min="8" max="8" width="9" customWidth="1"/>
    <col min="9" max="10" width="7.25" customWidth="1"/>
    <col min="11" max="11" width="10.5" customWidth="1"/>
    <col min="12" max="12" width="5" customWidth="1"/>
    <col min="13" max="13" width="7" hidden="1" customWidth="1"/>
    <col min="14" max="15" width="10" customWidth="1"/>
    <col min="16" max="16" width="9.12962962962963" customWidth="1"/>
    <col min="17" max="17" width="8.75" customWidth="1"/>
    <col min="18" max="18" width="8" customWidth="1"/>
    <col min="19" max="19" width="11.75" customWidth="1"/>
    <col min="20" max="20" width="5.5" customWidth="1"/>
    <col min="21" max="21" width="7.87962962962963" hidden="1" customWidth="1"/>
    <col min="22" max="22" width="10.5" customWidth="1"/>
    <col min="23" max="23" width="11" customWidth="1"/>
  </cols>
  <sheetData>
    <row r="1" ht="22.15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15" customHeight="1" spans="1:2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/>
      <c r="L2" s="7"/>
      <c r="M2" s="7"/>
      <c r="N2" s="7"/>
      <c r="O2" s="7"/>
      <c r="P2" s="19" t="s">
        <v>11</v>
      </c>
      <c r="Q2" s="19"/>
      <c r="R2" s="19"/>
      <c r="S2" s="19"/>
      <c r="T2" s="19"/>
      <c r="U2" s="19"/>
      <c r="V2" s="19"/>
      <c r="W2" s="26"/>
    </row>
    <row r="3" s="1" customFormat="1" ht="28.15" customHeight="1" spans="1:23">
      <c r="A3" s="8"/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20" t="s">
        <v>12</v>
      </c>
      <c r="K3" s="9" t="s">
        <v>13</v>
      </c>
      <c r="L3" s="9" t="s">
        <v>14</v>
      </c>
      <c r="M3" s="20" t="s">
        <v>15</v>
      </c>
      <c r="N3" s="9" t="s">
        <v>16</v>
      </c>
      <c r="O3" s="9" t="s">
        <v>17</v>
      </c>
      <c r="P3" s="21" t="s">
        <v>18</v>
      </c>
      <c r="Q3" s="21" t="s">
        <v>19</v>
      </c>
      <c r="R3" s="27" t="s">
        <v>20</v>
      </c>
      <c r="S3" s="27" t="s">
        <v>21</v>
      </c>
      <c r="T3" s="21" t="s">
        <v>14</v>
      </c>
      <c r="U3" s="27" t="s">
        <v>15</v>
      </c>
      <c r="V3" s="28" t="s">
        <v>16</v>
      </c>
      <c r="W3" s="29" t="s">
        <v>17</v>
      </c>
    </row>
    <row r="4" s="2" customFormat="1" ht="23.45" customHeight="1" spans="1:23">
      <c r="A4" s="10">
        <v>1</v>
      </c>
      <c r="B4" s="11">
        <v>43435</v>
      </c>
      <c r="C4" s="12">
        <v>43466</v>
      </c>
      <c r="D4" s="12">
        <v>43497</v>
      </c>
      <c r="E4" s="13">
        <v>67907.59</v>
      </c>
      <c r="F4" s="13"/>
      <c r="G4" s="13">
        <f>E4+F4</f>
        <v>67907.59</v>
      </c>
      <c r="H4" s="14">
        <f>1766.21+260</f>
        <v>2026.21</v>
      </c>
      <c r="I4" s="14">
        <v>2666</v>
      </c>
      <c r="J4" s="13">
        <f t="shared" ref="J4:J15" si="0">5000</f>
        <v>5000</v>
      </c>
      <c r="K4" s="13">
        <f>G4-H4-I4-J4</f>
        <v>58215.38</v>
      </c>
      <c r="L4" s="22">
        <v>0.35</v>
      </c>
      <c r="M4" s="13">
        <v>7160</v>
      </c>
      <c r="N4" s="13">
        <f>ROUND(MAX((K4)*{0.03,0.1,0.2,0.25,0.3,0.35,0.45}-{0,210,1410,2660,4410,7160,15160},0),2)</f>
        <v>13215.38</v>
      </c>
      <c r="O4" s="23">
        <f>G4-H4-I4-N4</f>
        <v>50000</v>
      </c>
      <c r="P4" s="13">
        <f>H4*A4</f>
        <v>2026.21</v>
      </c>
      <c r="Q4" s="13">
        <f>I4*A4</f>
        <v>2666</v>
      </c>
      <c r="R4" s="13">
        <f>5000*A4</f>
        <v>5000</v>
      </c>
      <c r="S4" s="30">
        <f>SUM($G$4:G4)-R4-P4-Q4</f>
        <v>58215.38</v>
      </c>
      <c r="T4" s="31">
        <v>0.1</v>
      </c>
      <c r="U4" s="24">
        <v>2520</v>
      </c>
      <c r="V4" s="32">
        <f>ROUND(MAX((S4)*{0.03,0.1,0.2,0.25,0.3,0.35,0.45}-{0,2520,16920,31920,52920,85920,181920},0),2)</f>
        <v>3301.54</v>
      </c>
      <c r="W4" s="33">
        <f>G4-H4-I4-V4</f>
        <v>59913.84</v>
      </c>
    </row>
    <row r="5" s="2" customFormat="1" ht="23.45" customHeight="1" spans="1:23">
      <c r="A5" s="10">
        <v>2</v>
      </c>
      <c r="B5" s="11">
        <v>43466</v>
      </c>
      <c r="C5" s="12">
        <v>43497</v>
      </c>
      <c r="D5" s="12">
        <v>43525</v>
      </c>
      <c r="E5" s="13">
        <v>67647.6</v>
      </c>
      <c r="F5" s="13"/>
      <c r="G5" s="13">
        <f>E5+F5</f>
        <v>67647.6</v>
      </c>
      <c r="H5" s="14">
        <f>1766.21</f>
        <v>1766.21</v>
      </c>
      <c r="I5" s="14">
        <v>2666</v>
      </c>
      <c r="J5" s="13">
        <f t="shared" si="0"/>
        <v>5000</v>
      </c>
      <c r="K5" s="13">
        <f t="shared" ref="K5:K15" si="1">G5-H5-I5-J5</f>
        <v>58215.39</v>
      </c>
      <c r="L5" s="22">
        <v>0.35</v>
      </c>
      <c r="M5" s="13">
        <v>7160</v>
      </c>
      <c r="N5" s="13">
        <f>ROUND(MAX((K5)*{0.03,0.1,0.2,0.25,0.3,0.35,0.45}-{0,210,1410,2660,4410,7160,15160},0),2)</f>
        <v>13215.39</v>
      </c>
      <c r="O5" s="23">
        <f>G5-H5-I5-N5</f>
        <v>50000</v>
      </c>
      <c r="P5" s="13">
        <f>H5*A5+260</f>
        <v>3792.42</v>
      </c>
      <c r="Q5" s="13">
        <f t="shared" ref="Q5:Q15" si="2">I5*A5</f>
        <v>5332</v>
      </c>
      <c r="R5" s="13">
        <f t="shared" ref="R5:R15" si="3">5000*A5</f>
        <v>10000</v>
      </c>
      <c r="S5" s="30">
        <f>SUM($G$4:G5)-R5-P5-Q5</f>
        <v>116430.77</v>
      </c>
      <c r="T5" s="31">
        <v>0.1</v>
      </c>
      <c r="U5" s="24">
        <v>2520</v>
      </c>
      <c r="V5" s="32">
        <f>ROUND(MAX((S5)*{0.03,0.1,0.2,0.25,0.3,0.35,0.45}-{0,2520,16920,31920,52920,85920,181920},0),2)-V4</f>
        <v>5821.54</v>
      </c>
      <c r="W5" s="33">
        <f t="shared" ref="W5:W15" si="4">G5-H5-I5-V5</f>
        <v>57393.85</v>
      </c>
    </row>
    <row r="6" s="2" customFormat="1" ht="23.45" customHeight="1" spans="1:23">
      <c r="A6" s="10">
        <v>3</v>
      </c>
      <c r="B6" s="11">
        <v>43497</v>
      </c>
      <c r="C6" s="12">
        <v>43525</v>
      </c>
      <c r="D6" s="12">
        <v>43556</v>
      </c>
      <c r="E6" s="13">
        <v>67647.6</v>
      </c>
      <c r="F6" s="13"/>
      <c r="G6" s="13">
        <f t="shared" ref="G6:G15" si="5">E6+F6</f>
        <v>67647.6</v>
      </c>
      <c r="H6" s="14">
        <f t="shared" ref="H6:H15" si="6">1766.21</f>
        <v>1766.21</v>
      </c>
      <c r="I6" s="14">
        <v>2666</v>
      </c>
      <c r="J6" s="13">
        <f t="shared" si="0"/>
        <v>5000</v>
      </c>
      <c r="K6" s="13">
        <f t="shared" si="1"/>
        <v>58215.39</v>
      </c>
      <c r="L6" s="22">
        <v>0.35</v>
      </c>
      <c r="M6" s="13">
        <v>7160</v>
      </c>
      <c r="N6" s="13">
        <f>ROUND(MAX((K6)*{0.03,0.1,0.2,0.25,0.3,0.35,0.45}-{0,210,1410,2660,4410,7160,15160},0),2)</f>
        <v>13215.39</v>
      </c>
      <c r="O6" s="23">
        <f t="shared" ref="O6:O15" si="7">G6-H6-I6-N6</f>
        <v>50000</v>
      </c>
      <c r="P6" s="13">
        <f>H6*A6+260</f>
        <v>5558.63</v>
      </c>
      <c r="Q6" s="13">
        <f t="shared" si="2"/>
        <v>7998</v>
      </c>
      <c r="R6" s="13">
        <f t="shared" si="3"/>
        <v>15000</v>
      </c>
      <c r="S6" s="30">
        <f>SUM($G$4:G6)-R6-P6-Q6</f>
        <v>174646.16</v>
      </c>
      <c r="T6" s="31">
        <v>0.2</v>
      </c>
      <c r="U6" s="24">
        <v>16920</v>
      </c>
      <c r="V6" s="32">
        <f>ROUND(MAX((S6)*{0.03,0.1,0.2,0.25,0.3,0.35,0.45}-{0,2520,16920,31920,52920,85920,181920},0),2)-SUM($V$4:V5)</f>
        <v>8886.15</v>
      </c>
      <c r="W6" s="33">
        <f t="shared" si="4"/>
        <v>54329.24</v>
      </c>
    </row>
    <row r="7" s="2" customFormat="1" ht="23.45" customHeight="1" spans="1:23">
      <c r="A7" s="10">
        <v>4</v>
      </c>
      <c r="B7" s="11">
        <v>43525</v>
      </c>
      <c r="C7" s="12">
        <v>43556</v>
      </c>
      <c r="D7" s="12">
        <v>43586</v>
      </c>
      <c r="E7" s="13">
        <v>67647.6</v>
      </c>
      <c r="F7" s="13"/>
      <c r="G7" s="13">
        <f t="shared" si="5"/>
        <v>67647.6</v>
      </c>
      <c r="H7" s="14">
        <f t="shared" si="6"/>
        <v>1766.21</v>
      </c>
      <c r="I7" s="14">
        <v>2666</v>
      </c>
      <c r="J7" s="13">
        <f t="shared" si="0"/>
        <v>5000</v>
      </c>
      <c r="K7" s="13">
        <f t="shared" si="1"/>
        <v>58215.39</v>
      </c>
      <c r="L7" s="22">
        <v>0.35</v>
      </c>
      <c r="M7" s="13">
        <v>7160</v>
      </c>
      <c r="N7" s="13">
        <f>ROUND(MAX((K7)*{0.03,0.1,0.2,0.25,0.3,0.35,0.45}-{0,210,1410,2660,4410,7160,15160},0),2)</f>
        <v>13215.39</v>
      </c>
      <c r="O7" s="23">
        <f t="shared" si="7"/>
        <v>50000</v>
      </c>
      <c r="P7" s="13">
        <f t="shared" ref="P7:P15" si="8">H7*A7+260</f>
        <v>7324.84</v>
      </c>
      <c r="Q7" s="13">
        <f t="shared" si="2"/>
        <v>10664</v>
      </c>
      <c r="R7" s="13">
        <f t="shared" si="3"/>
        <v>20000</v>
      </c>
      <c r="S7" s="30">
        <f>SUM($G$4:G7)-R7-P7-Q7</f>
        <v>232861.55</v>
      </c>
      <c r="T7" s="31">
        <v>0.2</v>
      </c>
      <c r="U7" s="24">
        <v>16920</v>
      </c>
      <c r="V7" s="32">
        <f>ROUND(MAX((S7)*{0.03,0.1,0.2,0.25,0.3,0.35,0.45}-{0,2520,16920,31920,52920,85920,181920},0),2)-SUM($V$4:V6)</f>
        <v>11643.08</v>
      </c>
      <c r="W7" s="33">
        <f t="shared" si="4"/>
        <v>51572.31</v>
      </c>
    </row>
    <row r="8" s="2" customFormat="1" ht="23.45" customHeight="1" spans="1:23">
      <c r="A8" s="10">
        <v>5</v>
      </c>
      <c r="B8" s="11">
        <v>43556</v>
      </c>
      <c r="C8" s="12">
        <v>43586</v>
      </c>
      <c r="D8" s="12">
        <v>43617</v>
      </c>
      <c r="E8" s="13">
        <v>67647.6</v>
      </c>
      <c r="F8" s="13"/>
      <c r="G8" s="13">
        <f t="shared" si="5"/>
        <v>67647.6</v>
      </c>
      <c r="H8" s="14">
        <f t="shared" si="6"/>
        <v>1766.21</v>
      </c>
      <c r="I8" s="14">
        <v>2666</v>
      </c>
      <c r="J8" s="13">
        <f t="shared" si="0"/>
        <v>5000</v>
      </c>
      <c r="K8" s="13">
        <f t="shared" si="1"/>
        <v>58215.39</v>
      </c>
      <c r="L8" s="22">
        <v>0.35</v>
      </c>
      <c r="M8" s="13">
        <v>7160</v>
      </c>
      <c r="N8" s="13">
        <f>ROUND(MAX((K8)*{0.03,0.1,0.2,0.25,0.3,0.35,0.45}-{0,210,1410,2660,4410,7160,15160},0),2)</f>
        <v>13215.39</v>
      </c>
      <c r="O8" s="23">
        <f t="shared" si="7"/>
        <v>50000</v>
      </c>
      <c r="P8" s="13">
        <f t="shared" si="8"/>
        <v>9091.05</v>
      </c>
      <c r="Q8" s="13">
        <f t="shared" si="2"/>
        <v>13330</v>
      </c>
      <c r="R8" s="13">
        <f t="shared" si="3"/>
        <v>25000</v>
      </c>
      <c r="S8" s="30">
        <f>SUM($G$4:G8)-R8-P8-Q8</f>
        <v>291076.94</v>
      </c>
      <c r="T8" s="31">
        <v>0.2</v>
      </c>
      <c r="U8" s="24">
        <v>16920</v>
      </c>
      <c r="V8" s="32">
        <f>ROUND(MAX((S8)*{0.03,0.1,0.2,0.25,0.3,0.35,0.45}-{0,2520,16920,31920,52920,85920,181920},0),2)-SUM($V$4:V7)</f>
        <v>11643.08</v>
      </c>
      <c r="W8" s="33">
        <f t="shared" si="4"/>
        <v>51572.31</v>
      </c>
    </row>
    <row r="9" s="2" customFormat="1" ht="23.45" customHeight="1" spans="1:23">
      <c r="A9" s="10">
        <v>6</v>
      </c>
      <c r="B9" s="11">
        <v>43586</v>
      </c>
      <c r="C9" s="12">
        <v>43617</v>
      </c>
      <c r="D9" s="12">
        <v>43647</v>
      </c>
      <c r="E9" s="13">
        <v>67647.6</v>
      </c>
      <c r="F9" s="13"/>
      <c r="G9" s="13">
        <f t="shared" si="5"/>
        <v>67647.6</v>
      </c>
      <c r="H9" s="14">
        <f t="shared" si="6"/>
        <v>1766.21</v>
      </c>
      <c r="I9" s="14">
        <v>2666</v>
      </c>
      <c r="J9" s="13">
        <f t="shared" si="0"/>
        <v>5000</v>
      </c>
      <c r="K9" s="13">
        <f t="shared" si="1"/>
        <v>58215.39</v>
      </c>
      <c r="L9" s="22">
        <v>0.35</v>
      </c>
      <c r="M9" s="13">
        <v>7160</v>
      </c>
      <c r="N9" s="13">
        <f>ROUND(MAX((K9)*{0.03,0.1,0.2,0.25,0.3,0.35,0.45}-{0,210,1410,2660,4410,7160,15160},0),2)</f>
        <v>13215.39</v>
      </c>
      <c r="O9" s="23">
        <f t="shared" si="7"/>
        <v>50000</v>
      </c>
      <c r="P9" s="13">
        <f t="shared" si="8"/>
        <v>10857.26</v>
      </c>
      <c r="Q9" s="13">
        <f t="shared" si="2"/>
        <v>15996</v>
      </c>
      <c r="R9" s="13">
        <f t="shared" si="3"/>
        <v>30000</v>
      </c>
      <c r="S9" s="30">
        <f>SUM($G$4:G9)-R9-P9-Q9</f>
        <v>349292.33</v>
      </c>
      <c r="T9" s="31">
        <v>0.25</v>
      </c>
      <c r="U9" s="24">
        <v>31920</v>
      </c>
      <c r="V9" s="32">
        <f>ROUND(MAX((S9)*{0.03,0.1,0.2,0.25,0.3,0.35,0.45}-{0,2520,16920,31920,52920,85920,181920},0),2)-SUM($V$4:V8)</f>
        <v>14107.69</v>
      </c>
      <c r="W9" s="33">
        <f t="shared" si="4"/>
        <v>49107.7</v>
      </c>
    </row>
    <row r="10" s="2" customFormat="1" ht="23.45" customHeight="1" spans="1:23">
      <c r="A10" s="10">
        <v>7</v>
      </c>
      <c r="B10" s="11">
        <v>43617</v>
      </c>
      <c r="C10" s="12">
        <v>43647</v>
      </c>
      <c r="D10" s="12">
        <v>43678</v>
      </c>
      <c r="E10" s="13">
        <v>67647.6</v>
      </c>
      <c r="F10" s="13">
        <v>168</v>
      </c>
      <c r="G10" s="13">
        <f t="shared" si="5"/>
        <v>67815.6</v>
      </c>
      <c r="H10" s="14">
        <f t="shared" si="6"/>
        <v>1766.21</v>
      </c>
      <c r="I10" s="14">
        <v>2666</v>
      </c>
      <c r="J10" s="13">
        <f t="shared" si="0"/>
        <v>5000</v>
      </c>
      <c r="K10" s="13">
        <f t="shared" si="1"/>
        <v>58383.39</v>
      </c>
      <c r="L10" s="22">
        <v>0.35</v>
      </c>
      <c r="M10" s="13">
        <v>7160</v>
      </c>
      <c r="N10" s="13">
        <f>ROUND(MAX((K10)*{0.03,0.1,0.2,0.25,0.3,0.35,0.45}-{0,210,1410,2660,4410,7160,15160},0),2)</f>
        <v>13274.19</v>
      </c>
      <c r="O10" s="23">
        <f t="shared" si="7"/>
        <v>50109.2</v>
      </c>
      <c r="P10" s="13">
        <f t="shared" si="8"/>
        <v>12623.47</v>
      </c>
      <c r="Q10" s="13">
        <f t="shared" si="2"/>
        <v>18662</v>
      </c>
      <c r="R10" s="13">
        <f t="shared" si="3"/>
        <v>35000</v>
      </c>
      <c r="S10" s="30">
        <f>SUM($G$4:G10)-R10-P10-Q10</f>
        <v>407675.72</v>
      </c>
      <c r="T10" s="31">
        <v>0.25</v>
      </c>
      <c r="U10" s="24">
        <v>31920</v>
      </c>
      <c r="V10" s="32">
        <f>ROUND(MAX((S10)*{0.03,0.1,0.2,0.25,0.3,0.35,0.45}-{0,2520,16920,31920,52920,85920,181920},0),2)-SUM($V$4:V9)</f>
        <v>14595.85</v>
      </c>
      <c r="W10" s="33">
        <f t="shared" si="4"/>
        <v>48787.54</v>
      </c>
    </row>
    <row r="11" s="2" customFormat="1" ht="23.45" customHeight="1" spans="1:23">
      <c r="A11" s="10">
        <v>8</v>
      </c>
      <c r="B11" s="11">
        <v>43647</v>
      </c>
      <c r="C11" s="12">
        <v>43678</v>
      </c>
      <c r="D11" s="12">
        <v>43709</v>
      </c>
      <c r="E11" s="13">
        <v>67647.6</v>
      </c>
      <c r="F11" s="13">
        <v>168</v>
      </c>
      <c r="G11" s="13">
        <f t="shared" si="5"/>
        <v>67815.6</v>
      </c>
      <c r="H11" s="14">
        <f t="shared" si="6"/>
        <v>1766.21</v>
      </c>
      <c r="I11" s="14">
        <v>2666</v>
      </c>
      <c r="J11" s="13">
        <f t="shared" si="0"/>
        <v>5000</v>
      </c>
      <c r="K11" s="13">
        <f t="shared" si="1"/>
        <v>58383.39</v>
      </c>
      <c r="L11" s="22">
        <v>0.35</v>
      </c>
      <c r="M11" s="13">
        <v>7160</v>
      </c>
      <c r="N11" s="13">
        <f>ROUND(MAX((K11)*{0.03,0.1,0.2,0.25,0.3,0.35,0.45}-{0,210,1410,2660,4410,7160,15160},0),2)</f>
        <v>13274.19</v>
      </c>
      <c r="O11" s="23">
        <f t="shared" si="7"/>
        <v>50109.2</v>
      </c>
      <c r="P11" s="13">
        <f t="shared" si="8"/>
        <v>14389.68</v>
      </c>
      <c r="Q11" s="13">
        <f t="shared" si="2"/>
        <v>21328</v>
      </c>
      <c r="R11" s="13">
        <f t="shared" si="3"/>
        <v>40000</v>
      </c>
      <c r="S11" s="30">
        <f>SUM($G$4:G11)-R11-P11-Q11</f>
        <v>466059.11</v>
      </c>
      <c r="T11" s="31">
        <v>0.3</v>
      </c>
      <c r="U11" s="24">
        <v>52920</v>
      </c>
      <c r="V11" s="32">
        <f>ROUND(MAX((S11)*{0.03,0.1,0.2,0.25,0.3,0.35,0.45}-{0,2520,16920,31920,52920,85920,181920},0),2)-SUM($V$4:V10)</f>
        <v>16898.8</v>
      </c>
      <c r="W11" s="33">
        <f t="shared" si="4"/>
        <v>46484.59</v>
      </c>
    </row>
    <row r="12" s="2" customFormat="1" ht="23.45" customHeight="1" spans="1:23">
      <c r="A12" s="10">
        <v>9</v>
      </c>
      <c r="B12" s="11">
        <v>43678</v>
      </c>
      <c r="C12" s="12">
        <v>43709</v>
      </c>
      <c r="D12" s="12">
        <v>43739</v>
      </c>
      <c r="E12" s="13">
        <v>67647.6</v>
      </c>
      <c r="F12" s="13">
        <v>168</v>
      </c>
      <c r="G12" s="13">
        <f t="shared" si="5"/>
        <v>67815.6</v>
      </c>
      <c r="H12" s="14">
        <f t="shared" si="6"/>
        <v>1766.21</v>
      </c>
      <c r="I12" s="14">
        <v>2666</v>
      </c>
      <c r="J12" s="13">
        <f t="shared" si="0"/>
        <v>5000</v>
      </c>
      <c r="K12" s="13">
        <f t="shared" si="1"/>
        <v>58383.39</v>
      </c>
      <c r="L12" s="22">
        <v>0.35</v>
      </c>
      <c r="M12" s="13">
        <v>7160</v>
      </c>
      <c r="N12" s="13">
        <f>ROUND(MAX((K12)*{0.03,0.1,0.2,0.25,0.3,0.35,0.45}-{0,210,1410,2660,4410,7160,15160},0),2)</f>
        <v>13274.19</v>
      </c>
      <c r="O12" s="23">
        <f t="shared" si="7"/>
        <v>50109.2</v>
      </c>
      <c r="P12" s="13">
        <f t="shared" si="8"/>
        <v>16155.89</v>
      </c>
      <c r="Q12" s="13">
        <f t="shared" si="2"/>
        <v>23994</v>
      </c>
      <c r="R12" s="13">
        <f t="shared" si="3"/>
        <v>45000</v>
      </c>
      <c r="S12" s="30">
        <f>SUM($G$4:G12)-R12-P12-Q12</f>
        <v>524442.5</v>
      </c>
      <c r="T12" s="31">
        <v>0.3</v>
      </c>
      <c r="U12" s="24">
        <v>52920</v>
      </c>
      <c r="V12" s="32">
        <f>ROUND(MAX((S12)*{0.03,0.1,0.2,0.25,0.3,0.35,0.45}-{0,2520,16920,31920,52920,85920,181920},0),2)-SUM($V$4:V11)</f>
        <v>17515.02</v>
      </c>
      <c r="W12" s="33">
        <f t="shared" si="4"/>
        <v>45868.37</v>
      </c>
    </row>
    <row r="13" s="2" customFormat="1" ht="23.45" customHeight="1" spans="1:23">
      <c r="A13" s="10">
        <v>10</v>
      </c>
      <c r="B13" s="11">
        <v>43709</v>
      </c>
      <c r="C13" s="12">
        <v>43739</v>
      </c>
      <c r="D13" s="12">
        <v>43770</v>
      </c>
      <c r="E13" s="13">
        <v>67647.6</v>
      </c>
      <c r="F13" s="13">
        <v>168</v>
      </c>
      <c r="G13" s="13">
        <f t="shared" si="5"/>
        <v>67815.6</v>
      </c>
      <c r="H13" s="14">
        <f t="shared" si="6"/>
        <v>1766.21</v>
      </c>
      <c r="I13" s="14">
        <v>2666</v>
      </c>
      <c r="J13" s="13">
        <f t="shared" si="0"/>
        <v>5000</v>
      </c>
      <c r="K13" s="13">
        <f t="shared" si="1"/>
        <v>58383.39</v>
      </c>
      <c r="L13" s="22">
        <v>0.35</v>
      </c>
      <c r="M13" s="13">
        <v>7160</v>
      </c>
      <c r="N13" s="13">
        <f>ROUND(MAX((K13)*{0.03,0.1,0.2,0.25,0.3,0.35,0.45}-{0,210,1410,2660,4410,7160,15160},0),2)</f>
        <v>13274.19</v>
      </c>
      <c r="O13" s="23">
        <f t="shared" si="7"/>
        <v>50109.2</v>
      </c>
      <c r="P13" s="13">
        <f t="shared" si="8"/>
        <v>17922.1</v>
      </c>
      <c r="Q13" s="13">
        <f t="shared" si="2"/>
        <v>26660</v>
      </c>
      <c r="R13" s="13">
        <f t="shared" si="3"/>
        <v>50000</v>
      </c>
      <c r="S13" s="30">
        <f>SUM($G$4:G13)-R13-P13-Q13</f>
        <v>582825.89</v>
      </c>
      <c r="T13" s="31">
        <v>0.3</v>
      </c>
      <c r="U13" s="24">
        <v>52920</v>
      </c>
      <c r="V13" s="32">
        <f>ROUND(MAX((S13)*{0.03,0.1,0.2,0.25,0.3,0.35,0.45}-{0,2520,16920,31920,52920,85920,181920},0),2)-SUM($V$4:V12)</f>
        <v>17515.02</v>
      </c>
      <c r="W13" s="33">
        <f t="shared" si="4"/>
        <v>45868.37</v>
      </c>
    </row>
    <row r="14" s="2" customFormat="1" ht="23.45" customHeight="1" spans="1:23">
      <c r="A14" s="10">
        <v>11</v>
      </c>
      <c r="B14" s="11">
        <v>43739</v>
      </c>
      <c r="C14" s="12">
        <v>43770</v>
      </c>
      <c r="D14" s="12">
        <v>43800</v>
      </c>
      <c r="E14" s="13">
        <v>67647.6</v>
      </c>
      <c r="F14" s="13"/>
      <c r="G14" s="13">
        <f t="shared" si="5"/>
        <v>67647.6</v>
      </c>
      <c r="H14" s="14">
        <f t="shared" si="6"/>
        <v>1766.21</v>
      </c>
      <c r="I14" s="14">
        <v>2666</v>
      </c>
      <c r="J14" s="13">
        <f t="shared" si="0"/>
        <v>5000</v>
      </c>
      <c r="K14" s="13">
        <f t="shared" si="1"/>
        <v>58215.39</v>
      </c>
      <c r="L14" s="22">
        <v>0.35</v>
      </c>
      <c r="M14" s="13">
        <v>7160</v>
      </c>
      <c r="N14" s="13">
        <f>ROUND(MAX((K14)*{0.03,0.1,0.2,0.25,0.3,0.35,0.45}-{0,210,1410,2660,4410,7160,15160},0),2)</f>
        <v>13215.39</v>
      </c>
      <c r="O14" s="23">
        <f t="shared" si="7"/>
        <v>50000</v>
      </c>
      <c r="P14" s="13">
        <f t="shared" si="8"/>
        <v>19688.31</v>
      </c>
      <c r="Q14" s="13">
        <f t="shared" si="2"/>
        <v>29326</v>
      </c>
      <c r="R14" s="13">
        <f t="shared" si="3"/>
        <v>55000</v>
      </c>
      <c r="S14" s="30">
        <f>SUM($G$4:G14)-R14-P14-Q14</f>
        <v>641041.28</v>
      </c>
      <c r="T14" s="31">
        <v>0.3</v>
      </c>
      <c r="U14" s="24">
        <v>52920</v>
      </c>
      <c r="V14" s="32">
        <f>ROUND(MAX((S14)*{0.03,0.1,0.2,0.25,0.3,0.35,0.45}-{0,2520,16920,31920,52920,85920,181920},0),2)-SUM($V$4:V13)</f>
        <v>17464.61</v>
      </c>
      <c r="W14" s="33">
        <f t="shared" si="4"/>
        <v>45750.78</v>
      </c>
    </row>
    <row r="15" s="2" customFormat="1" ht="23.45" customHeight="1" spans="1:23">
      <c r="A15" s="10">
        <v>12</v>
      </c>
      <c r="B15" s="11">
        <v>43770</v>
      </c>
      <c r="C15" s="12">
        <v>43800</v>
      </c>
      <c r="D15" s="12">
        <v>43831</v>
      </c>
      <c r="E15" s="13">
        <v>67647.6</v>
      </c>
      <c r="F15" s="13"/>
      <c r="G15" s="13">
        <f t="shared" si="5"/>
        <v>67647.6</v>
      </c>
      <c r="H15" s="14">
        <f t="shared" si="6"/>
        <v>1766.21</v>
      </c>
      <c r="I15" s="14">
        <v>2666</v>
      </c>
      <c r="J15" s="13">
        <f t="shared" si="0"/>
        <v>5000</v>
      </c>
      <c r="K15" s="13">
        <f t="shared" si="1"/>
        <v>58215.39</v>
      </c>
      <c r="L15" s="22">
        <v>0.35</v>
      </c>
      <c r="M15" s="13">
        <v>7160</v>
      </c>
      <c r="N15" s="13">
        <f>ROUND(MAX((K15)*{0.03,0.1,0.2,0.25,0.3,0.35,0.45}-{0,210,1410,2660,4410,7160,15160},0),2)</f>
        <v>13215.39</v>
      </c>
      <c r="O15" s="23">
        <f t="shared" si="7"/>
        <v>50000</v>
      </c>
      <c r="P15" s="24">
        <f t="shared" si="8"/>
        <v>21454.52</v>
      </c>
      <c r="Q15" s="24">
        <f t="shared" si="2"/>
        <v>31992</v>
      </c>
      <c r="R15" s="24">
        <f t="shared" si="3"/>
        <v>60000</v>
      </c>
      <c r="S15" s="34">
        <f>SUM($G$4:G15)-R15-P15-Q15</f>
        <v>699256.67</v>
      </c>
      <c r="T15" s="31">
        <v>0.35</v>
      </c>
      <c r="U15" s="24">
        <v>181920</v>
      </c>
      <c r="V15" s="32">
        <f>ROUND(MAX((S15)*{0.03,0.1,0.2,0.25,0.3,0.35,0.45}-{0,2520,16920,31920,52920,85920,181920},0),2)-SUM($V$4:V14)</f>
        <v>19427.45</v>
      </c>
      <c r="W15" s="33">
        <f t="shared" si="4"/>
        <v>43787.94</v>
      </c>
    </row>
    <row r="16" s="1" customFormat="1" ht="24" customHeight="1" spans="1:23">
      <c r="A16" s="15"/>
      <c r="B16" s="16" t="s">
        <v>22</v>
      </c>
      <c r="C16" s="16" t="s">
        <v>22</v>
      </c>
      <c r="D16" s="16" t="s">
        <v>22</v>
      </c>
      <c r="E16" s="16">
        <f>SUM(E4:E15)</f>
        <v>812031.19</v>
      </c>
      <c r="F16" s="16">
        <f t="shared" ref="F16:O16" si="9">SUM(F4:F15)</f>
        <v>672</v>
      </c>
      <c r="G16" s="16">
        <f t="shared" si="9"/>
        <v>812703.19</v>
      </c>
      <c r="H16" s="16">
        <f t="shared" si="9"/>
        <v>21454.52</v>
      </c>
      <c r="I16" s="16">
        <f t="shared" si="9"/>
        <v>31992</v>
      </c>
      <c r="J16" s="16">
        <f t="shared" si="9"/>
        <v>60000</v>
      </c>
      <c r="K16" s="16">
        <f t="shared" si="9"/>
        <v>699256.67</v>
      </c>
      <c r="L16" s="16"/>
      <c r="M16" s="16"/>
      <c r="N16" s="16">
        <f t="shared" si="9"/>
        <v>158819.87</v>
      </c>
      <c r="O16" s="16">
        <f t="shared" si="9"/>
        <v>600436.8</v>
      </c>
      <c r="P16" s="25"/>
      <c r="Q16" s="25"/>
      <c r="R16" s="25"/>
      <c r="S16" s="25"/>
      <c r="T16" s="25"/>
      <c r="U16" s="25"/>
      <c r="V16" s="35">
        <f>SUM(V4:V15)</f>
        <v>158819.83</v>
      </c>
      <c r="W16" s="36">
        <f>SUM(W4:W15)</f>
        <v>600436.84</v>
      </c>
    </row>
    <row r="17" s="2" customFormat="1" ht="12" spans="1:2">
      <c r="A17" s="17"/>
      <c r="B17" s="1"/>
    </row>
    <row r="20" spans="7:8">
      <c r="G20" s="18"/>
      <c r="H20" s="18"/>
    </row>
    <row r="21" spans="7:8">
      <c r="G21" s="18"/>
      <c r="H21" s="18"/>
    </row>
  </sheetData>
  <mergeCells count="13">
    <mergeCell ref="A1:W1"/>
    <mergeCell ref="J2:O2"/>
    <mergeCell ref="P2:W2"/>
    <mergeCell ref="P16:S16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" right="0.25" top="0.748031496062992" bottom="0.748031496062992" header="0.31496062992126" footer="0.31496062992126"/>
  <pageSetup paperSize="9" scale="83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weiwei</dc:creator>
  <cp:lastModifiedBy>人事星球</cp:lastModifiedBy>
  <dcterms:created xsi:type="dcterms:W3CDTF">2019-02-22T04:31:00Z</dcterms:created>
  <dcterms:modified xsi:type="dcterms:W3CDTF">2020-04-27T14:01:42Z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